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Privat\Nordstrand Fotball\"/>
    </mc:Choice>
  </mc:AlternateContent>
  <bookViews>
    <workbookView xWindow="0" yWindow="0" windowWidth="25200" windowHeight="11925"/>
  </bookViews>
  <sheets>
    <sheet name="Investering" sheetId="1" r:id="rId1"/>
    <sheet name="Driftsbudsjett" sheetId="2" r:id="rId2"/>
    <sheet name="Finansiering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4" i="1" l="1"/>
  <c r="B6" i="3" s="1"/>
  <c r="B7" i="1"/>
  <c r="B6" i="1"/>
  <c r="B15" i="2"/>
  <c r="D11" i="2"/>
  <c r="D10" i="2"/>
  <c r="D9" i="2"/>
  <c r="D6" i="2"/>
  <c r="C8" i="2"/>
  <c r="D8" i="2" s="1"/>
  <c r="B13" i="1" l="1"/>
  <c r="B19" i="1" l="1"/>
  <c r="B3" i="3" s="1"/>
  <c r="B8" i="1"/>
  <c r="B15" i="1"/>
  <c r="B10" i="1" l="1"/>
  <c r="B5" i="3"/>
  <c r="B7" i="3" s="1"/>
  <c r="B14" i="3" s="1"/>
  <c r="B20" i="1"/>
  <c r="C13" i="2" s="1"/>
  <c r="B9" i="3" l="1"/>
  <c r="B11" i="3" s="1"/>
  <c r="C12" i="2"/>
  <c r="D13" i="2"/>
  <c r="C15" i="2" l="1"/>
  <c r="D12" i="2"/>
  <c r="D15" i="2" s="1"/>
</calcChain>
</file>

<file path=xl/sharedStrings.xml><?xml version="1.0" encoding="utf-8"?>
<sst xmlns="http://schemas.openxmlformats.org/spreadsheetml/2006/main" count="50" uniqueCount="47">
  <si>
    <t>Kostnad</t>
  </si>
  <si>
    <t>Investering</t>
  </si>
  <si>
    <t>Kommentar</t>
  </si>
  <si>
    <t xml:space="preserve">Anleggsinvseteringer på Niffen. </t>
  </si>
  <si>
    <t xml:space="preserve">MVA refusjon </t>
  </si>
  <si>
    <t>Tippemidler</t>
  </si>
  <si>
    <t>Netto kostnad IR undervarme</t>
  </si>
  <si>
    <t>Nettokostnad 5'er / 7er bane</t>
  </si>
  <si>
    <t>1. IR- Undervarme</t>
  </si>
  <si>
    <t>2. Ny 5'er / 7'er bane på minikunsten</t>
  </si>
  <si>
    <t>3. Tribune</t>
  </si>
  <si>
    <t>Total netto kostnad investeringer (1+2+3)</t>
  </si>
  <si>
    <t>Total brutto kostnad</t>
  </si>
  <si>
    <t>Baneleie eksternt (Manglerudhallen)</t>
  </si>
  <si>
    <t>Vinter vedlikehold</t>
  </si>
  <si>
    <t>Elektrisitet</t>
  </si>
  <si>
    <t>Avskrivninger</t>
  </si>
  <si>
    <t>Inntekter for utleie av bane</t>
  </si>
  <si>
    <t>Bud før investering</t>
  </si>
  <si>
    <t>Etter oppgradering av anlegg</t>
  </si>
  <si>
    <t>Kommentarer</t>
  </si>
  <si>
    <t>Driftsbudsjett for kunsgressbane før og etter anleggsinvesteringer</t>
  </si>
  <si>
    <t>Sum</t>
  </si>
  <si>
    <t>Endring *</t>
  </si>
  <si>
    <t>Offentlige tilskudd</t>
  </si>
  <si>
    <t>Grunnarbeider og adm.kost undervarme</t>
  </si>
  <si>
    <t>1/3 av totalkost inkl MVA</t>
  </si>
  <si>
    <t>Totalkost ekskl. MVA og tippemidler nedskrives over 10 år.</t>
  </si>
  <si>
    <t>Brutto investert beløp inkl. MVA og tippemidler</t>
  </si>
  <si>
    <t>MVA refusjon</t>
  </si>
  <si>
    <t>Sum MVA refusjon og tippemidler</t>
  </si>
  <si>
    <t>Netto investert beløp</t>
  </si>
  <si>
    <t>Andel av nettoinvestering som lånefinansieres</t>
  </si>
  <si>
    <t>Finansiering av anleggsinvestering på Niffen</t>
  </si>
  <si>
    <t>Beløp som må mellomfinansieres  i bank eller med EK frem til refusjon</t>
  </si>
  <si>
    <t>1/3 av investert beløp, maks beløp 700.000</t>
  </si>
  <si>
    <t>Sponsorer</t>
  </si>
  <si>
    <t xml:space="preserve">Årlige inntekter / kostander </t>
  </si>
  <si>
    <t>Rep. Bane/vaktmester/renhold</t>
  </si>
  <si>
    <t>Har forutsatt 4% rente av lånefinansiert beløp</t>
  </si>
  <si>
    <t>Renter **</t>
  </si>
  <si>
    <t xml:space="preserve">Pris er inkl. MVA basert på pris fra Unisport. </t>
  </si>
  <si>
    <t>Kostnad etter refusjon av tippemidler og MVA.</t>
  </si>
  <si>
    <t>* Andel av netto investering som finansieres med egenkapital</t>
  </si>
  <si>
    <t>Tribune med 100 seter a' kr. 1600 pluss MVA</t>
  </si>
  <si>
    <t>* Vi ser for oss at 60-65% av fotballens opparbeidede egenkapital benyttes som egenkapital i prosjektet.</t>
  </si>
  <si>
    <t>* Vi ser for oss at treningsavgiften økes med 200 kr. i 2016 som vil finansiere 70% av kostnadsøkningen knyttet til nye anlegg.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</si>
</sst>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\ 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3" fontId="3" fillId="0" borderId="0" xfId="0" applyNumberFormat="1" applyFont="1" applyAlignment="1">
      <alignment horizontal="left"/>
    </xf>
    <xf numFmtId="0" fontId="3" fillId="0" borderId="0" xfId="0" applyFont="1"/>
    <xf numFmtId="3" fontId="2" fillId="0" borderId="0" xfId="0" applyNumberFormat="1" applyFont="1" applyAlignment="1">
      <alignment horizontal="left"/>
    </xf>
    <xf numFmtId="164" fontId="3" fillId="0" borderId="0" xfId="1" applyNumberFormat="1" applyFont="1" applyAlignment="1">
      <alignment horizontal="left"/>
    </xf>
    <xf numFmtId="0" fontId="4" fillId="0" borderId="0" xfId="0" applyFont="1"/>
    <xf numFmtId="0" fontId="0" fillId="0" borderId="0" xfId="0" applyAlignment="1">
      <alignment horizontal="left"/>
    </xf>
    <xf numFmtId="3" fontId="0" fillId="0" borderId="0" xfId="0" applyNumberFormat="1"/>
    <xf numFmtId="3" fontId="0" fillId="0" borderId="0" xfId="0" applyNumberForma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0" fillId="0" borderId="0" xfId="0" applyFont="1"/>
    <xf numFmtId="3" fontId="0" fillId="0" borderId="0" xfId="0" applyNumberFormat="1" applyFont="1" applyAlignment="1">
      <alignment horizontal="left"/>
    </xf>
    <xf numFmtId="0" fontId="3" fillId="0" borderId="0" xfId="0" quotePrefix="1" applyFont="1"/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C24"/>
  <sheetViews>
    <sheetView tabSelected="1" topLeftCell="A3" workbookViewId="0">
      <selection activeCell="A22" sqref="A22"/>
    </sheetView>
  </sheetViews>
  <sheetFormatPr baseColWidth="10" defaultRowHeight="15.75" x14ac:dyDescent="0.25"/>
  <cols>
    <col min="1" max="1" width="47.85546875" style="3" customWidth="1"/>
    <col min="2" max="2" width="16.42578125" style="2" customWidth="1"/>
    <col min="3" max="3" width="97.85546875" style="3" customWidth="1"/>
    <col min="4" max="16384" width="11.42578125" style="3"/>
  </cols>
  <sheetData>
    <row r="3" spans="1:3" x14ac:dyDescent="0.25">
      <c r="A3" s="1" t="s">
        <v>3</v>
      </c>
    </row>
    <row r="5" spans="1:3" x14ac:dyDescent="0.25">
      <c r="A5" s="1" t="s">
        <v>1</v>
      </c>
      <c r="B5" s="4" t="s">
        <v>0</v>
      </c>
      <c r="C5" s="1" t="s">
        <v>2</v>
      </c>
    </row>
    <row r="6" spans="1:3" s="1" customFormat="1" ht="20.100000000000001" customHeight="1" x14ac:dyDescent="0.25">
      <c r="A6" s="6" t="s">
        <v>8</v>
      </c>
      <c r="B6" s="2">
        <f>2380000*1.25</f>
        <v>2975000</v>
      </c>
      <c r="C6" s="3" t="s">
        <v>41</v>
      </c>
    </row>
    <row r="7" spans="1:3" s="1" customFormat="1" ht="20.100000000000001" customHeight="1" x14ac:dyDescent="0.25">
      <c r="A7" s="1" t="s">
        <v>25</v>
      </c>
      <c r="B7" s="2">
        <f>3700000-B6</f>
        <v>725000</v>
      </c>
      <c r="C7" s="3"/>
    </row>
    <row r="8" spans="1:3" ht="20.100000000000001" customHeight="1" x14ac:dyDescent="0.25">
      <c r="A8" s="3" t="s">
        <v>4</v>
      </c>
      <c r="B8" s="2">
        <f>-(B6+B7)*0.2</f>
        <v>-740000</v>
      </c>
    </row>
    <row r="9" spans="1:3" ht="20.100000000000001" customHeight="1" x14ac:dyDescent="0.25">
      <c r="A9" s="3" t="s">
        <v>5</v>
      </c>
      <c r="B9" s="2">
        <v>-700000</v>
      </c>
      <c r="C9" s="3" t="s">
        <v>35</v>
      </c>
    </row>
    <row r="10" spans="1:3" ht="20.100000000000001" customHeight="1" x14ac:dyDescent="0.25">
      <c r="A10" s="3" t="s">
        <v>6</v>
      </c>
      <c r="B10" s="2">
        <f>+B6+B7+B8+B9</f>
        <v>2260000</v>
      </c>
    </row>
    <row r="11" spans="1:3" ht="12" customHeight="1" x14ac:dyDescent="0.25"/>
    <row r="12" spans="1:3" ht="20.100000000000001" customHeight="1" x14ac:dyDescent="0.25">
      <c r="A12" s="6" t="s">
        <v>9</v>
      </c>
      <c r="B12" s="2">
        <v>1760000</v>
      </c>
    </row>
    <row r="13" spans="1:3" ht="20.100000000000001" customHeight="1" x14ac:dyDescent="0.25">
      <c r="A13" s="3" t="s">
        <v>4</v>
      </c>
      <c r="B13" s="2">
        <f>-B12*0.2</f>
        <v>-352000</v>
      </c>
    </row>
    <row r="14" spans="1:3" ht="20.100000000000001" customHeight="1" x14ac:dyDescent="0.25">
      <c r="A14" s="3" t="s">
        <v>5</v>
      </c>
      <c r="B14" s="2">
        <f>-B12/3</f>
        <v>-586666.66666666663</v>
      </c>
      <c r="C14" s="14" t="s">
        <v>26</v>
      </c>
    </row>
    <row r="15" spans="1:3" ht="20.100000000000001" customHeight="1" x14ac:dyDescent="0.25">
      <c r="A15" s="3" t="s">
        <v>7</v>
      </c>
      <c r="B15" s="2">
        <f>SUM(B12:B14)</f>
        <v>821333.33333333337</v>
      </c>
    </row>
    <row r="16" spans="1:3" ht="11.25" customHeight="1" x14ac:dyDescent="0.25"/>
    <row r="17" spans="1:3" ht="20.100000000000001" customHeight="1" x14ac:dyDescent="0.25">
      <c r="A17" s="6" t="s">
        <v>10</v>
      </c>
      <c r="B17" s="2">
        <f>1600*100*1.25</f>
        <v>200000</v>
      </c>
      <c r="C17" s="3" t="s">
        <v>44</v>
      </c>
    </row>
    <row r="18" spans="1:3" ht="13.5" customHeight="1" x14ac:dyDescent="0.25"/>
    <row r="19" spans="1:3" ht="20.100000000000001" customHeight="1" x14ac:dyDescent="0.25">
      <c r="A19" s="3" t="s">
        <v>12</v>
      </c>
      <c r="B19" s="2">
        <f>+B6+B7+B12+B17</f>
        <v>5660000</v>
      </c>
    </row>
    <row r="20" spans="1:3" ht="20.100000000000001" customHeight="1" x14ac:dyDescent="0.25">
      <c r="A20" s="3" t="s">
        <v>11</v>
      </c>
      <c r="B20" s="2">
        <f>+B10+B15+B17</f>
        <v>3281333.3333333335</v>
      </c>
      <c r="C20" s="3" t="s">
        <v>42</v>
      </c>
    </row>
    <row r="21" spans="1:3" ht="14.25" customHeight="1" x14ac:dyDescent="0.25"/>
    <row r="22" spans="1:3" ht="20.100000000000001" customHeight="1" x14ac:dyDescent="0.25"/>
    <row r="24" spans="1:3" x14ac:dyDescent="0.25">
      <c r="B24" s="5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9"/>
  <sheetViews>
    <sheetView workbookViewId="0">
      <selection activeCell="B27" sqref="B27"/>
    </sheetView>
  </sheetViews>
  <sheetFormatPr baseColWidth="10" defaultRowHeight="15" x14ac:dyDescent="0.25"/>
  <cols>
    <col min="1" max="1" width="36.42578125" customWidth="1"/>
    <col min="2" max="2" width="28.28515625" customWidth="1"/>
    <col min="3" max="3" width="28.28515625" style="7" customWidth="1"/>
    <col min="4" max="4" width="17.5703125" style="7" customWidth="1"/>
    <col min="5" max="5" width="55.140625" customWidth="1"/>
  </cols>
  <sheetData>
    <row r="2" spans="1:5" ht="15.75" x14ac:dyDescent="0.25">
      <c r="A2" s="1" t="s">
        <v>21</v>
      </c>
    </row>
    <row r="4" spans="1:5" s="10" customFormat="1" ht="23.25" customHeight="1" x14ac:dyDescent="0.25">
      <c r="A4" s="10" t="s">
        <v>37</v>
      </c>
      <c r="B4" s="10" t="s">
        <v>18</v>
      </c>
      <c r="C4" s="11" t="s">
        <v>19</v>
      </c>
      <c r="D4" s="11" t="s">
        <v>23</v>
      </c>
      <c r="E4" s="10" t="s">
        <v>20</v>
      </c>
    </row>
    <row r="5" spans="1:5" s="10" customFormat="1" ht="23.25" customHeight="1" x14ac:dyDescent="0.25">
      <c r="A5" s="12" t="s">
        <v>24</v>
      </c>
      <c r="B5" s="13">
        <v>42000</v>
      </c>
      <c r="C5" s="13">
        <v>42000</v>
      </c>
      <c r="D5" s="11"/>
    </row>
    <row r="6" spans="1:5" ht="20.100000000000001" customHeight="1" x14ac:dyDescent="0.25">
      <c r="A6" t="s">
        <v>17</v>
      </c>
      <c r="B6" s="9">
        <v>0</v>
      </c>
      <c r="C6" s="9">
        <v>100000</v>
      </c>
      <c r="D6" s="9">
        <f>+C6-B6</f>
        <v>100000</v>
      </c>
    </row>
    <row r="7" spans="1:5" ht="20.100000000000001" customHeight="1" x14ac:dyDescent="0.25">
      <c r="A7" t="s">
        <v>36</v>
      </c>
      <c r="B7" s="9"/>
      <c r="C7" s="9">
        <v>50000</v>
      </c>
      <c r="D7" s="9"/>
    </row>
    <row r="8" spans="1:5" ht="20.100000000000001" customHeight="1" x14ac:dyDescent="0.25">
      <c r="A8" t="s">
        <v>14</v>
      </c>
      <c r="B8" s="9">
        <v>-330000</v>
      </c>
      <c r="C8" s="9">
        <f>+B8</f>
        <v>-330000</v>
      </c>
      <c r="D8" s="9">
        <f t="shared" ref="D8:D13" si="0">+C8-B8</f>
        <v>0</v>
      </c>
    </row>
    <row r="9" spans="1:5" ht="20.100000000000001" customHeight="1" x14ac:dyDescent="0.25">
      <c r="A9" t="s">
        <v>38</v>
      </c>
      <c r="B9" s="9">
        <v>-185000</v>
      </c>
      <c r="C9" s="9">
        <v>-160000</v>
      </c>
      <c r="D9" s="9">
        <f t="shared" si="0"/>
        <v>25000</v>
      </c>
    </row>
    <row r="10" spans="1:5" ht="20.100000000000001" customHeight="1" x14ac:dyDescent="0.25">
      <c r="A10" t="s">
        <v>13</v>
      </c>
      <c r="B10" s="9">
        <v>-230000</v>
      </c>
      <c r="C10" s="9">
        <v>0</v>
      </c>
      <c r="D10" s="9">
        <f t="shared" si="0"/>
        <v>230000</v>
      </c>
    </row>
    <row r="11" spans="1:5" ht="20.100000000000001" customHeight="1" x14ac:dyDescent="0.25">
      <c r="A11" t="s">
        <v>15</v>
      </c>
      <c r="B11" s="9">
        <v>-30000</v>
      </c>
      <c r="C11" s="9">
        <v>-200000</v>
      </c>
      <c r="D11" s="9">
        <f t="shared" si="0"/>
        <v>-170000</v>
      </c>
    </row>
    <row r="12" spans="1:5" ht="20.100000000000001" customHeight="1" x14ac:dyDescent="0.25">
      <c r="A12" t="s">
        <v>16</v>
      </c>
      <c r="B12" s="9">
        <v>-13000</v>
      </c>
      <c r="C12" s="9">
        <f>ROUND(SUM(-Investering!B20*0.1-13000),-3)</f>
        <v>-341000</v>
      </c>
      <c r="D12" s="9">
        <f t="shared" si="0"/>
        <v>-328000</v>
      </c>
      <c r="E12" t="s">
        <v>27</v>
      </c>
    </row>
    <row r="13" spans="1:5" ht="20.100000000000001" customHeight="1" x14ac:dyDescent="0.25">
      <c r="A13" t="s">
        <v>40</v>
      </c>
      <c r="B13" s="9">
        <v>0</v>
      </c>
      <c r="C13" s="9">
        <f>ROUND(SUM(-(Investering!B20-Finansiering!B12)*0.04),-3)</f>
        <v>-103000</v>
      </c>
      <c r="D13" s="9">
        <f t="shared" si="0"/>
        <v>-103000</v>
      </c>
      <c r="E13" t="s">
        <v>39</v>
      </c>
    </row>
    <row r="14" spans="1:5" ht="17.25" customHeight="1" x14ac:dyDescent="0.25">
      <c r="D14" s="9"/>
    </row>
    <row r="15" spans="1:5" ht="20.100000000000001" customHeight="1" x14ac:dyDescent="0.25">
      <c r="A15" t="s">
        <v>22</v>
      </c>
      <c r="B15" s="9">
        <f>SUM(B5:B14)</f>
        <v>-746000</v>
      </c>
      <c r="C15" s="9">
        <f>SUM(C5:C14)</f>
        <v>-942000</v>
      </c>
      <c r="D15" s="9">
        <f>SUM(D5:D14)</f>
        <v>-246000</v>
      </c>
    </row>
    <row r="19" spans="1:1" x14ac:dyDescent="0.25">
      <c r="A19" t="s">
        <v>46</v>
      </c>
    </row>
  </sheetData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9"/>
  <sheetViews>
    <sheetView workbookViewId="0">
      <selection activeCell="A22" sqref="A22"/>
    </sheetView>
  </sheetViews>
  <sheetFormatPr baseColWidth="10" defaultRowHeight="15" x14ac:dyDescent="0.25"/>
  <cols>
    <col min="1" max="1" width="64.7109375" customWidth="1"/>
  </cols>
  <sheetData>
    <row r="1" spans="1:2" ht="15.75" x14ac:dyDescent="0.25">
      <c r="A1" s="1" t="s">
        <v>33</v>
      </c>
    </row>
    <row r="3" spans="1:2" x14ac:dyDescent="0.25">
      <c r="A3" t="s">
        <v>28</v>
      </c>
      <c r="B3" s="8">
        <f>+Investering!B19</f>
        <v>5660000</v>
      </c>
    </row>
    <row r="4" spans="1:2" ht="9.75" customHeight="1" x14ac:dyDescent="0.25"/>
    <row r="5" spans="1:2" x14ac:dyDescent="0.25">
      <c r="A5" t="s">
        <v>29</v>
      </c>
      <c r="B5" s="8">
        <f>+Investering!B8+Investering!B13</f>
        <v>-1092000</v>
      </c>
    </row>
    <row r="6" spans="1:2" x14ac:dyDescent="0.25">
      <c r="A6" t="s">
        <v>5</v>
      </c>
      <c r="B6" s="8">
        <f>+Investering!B9+Investering!B14</f>
        <v>-1286666.6666666665</v>
      </c>
    </row>
    <row r="7" spans="1:2" x14ac:dyDescent="0.25">
      <c r="A7" t="s">
        <v>30</v>
      </c>
      <c r="B7" s="8">
        <f>SUM(B5:B6)</f>
        <v>-2378666.6666666665</v>
      </c>
    </row>
    <row r="8" spans="1:2" ht="10.5" customHeight="1" x14ac:dyDescent="0.25"/>
    <row r="9" spans="1:2" x14ac:dyDescent="0.25">
      <c r="A9" t="s">
        <v>31</v>
      </c>
      <c r="B9" s="8">
        <f>+B3+B7</f>
        <v>3281333.3333333335</v>
      </c>
    </row>
    <row r="11" spans="1:2" x14ac:dyDescent="0.25">
      <c r="A11" t="s">
        <v>32</v>
      </c>
      <c r="B11" s="8">
        <f>+B9-B12</f>
        <v>2581333.3333333335</v>
      </c>
    </row>
    <row r="12" spans="1:2" x14ac:dyDescent="0.25">
      <c r="A12" t="s">
        <v>43</v>
      </c>
      <c r="B12" s="8">
        <v>700000</v>
      </c>
    </row>
    <row r="13" spans="1:2" ht="12" customHeight="1" x14ac:dyDescent="0.25"/>
    <row r="14" spans="1:2" x14ac:dyDescent="0.25">
      <c r="A14" t="s">
        <v>34</v>
      </c>
      <c r="B14" s="8">
        <f>-B7</f>
        <v>2378666.6666666665</v>
      </c>
    </row>
    <row r="17" spans="1:1" x14ac:dyDescent="0.25">
      <c r="A17" t="s">
        <v>45</v>
      </c>
    </row>
    <row r="18" spans="1:1" ht="15.75" x14ac:dyDescent="0.25">
      <c r="A18" s="3"/>
    </row>
    <row r="19" spans="1:1" ht="15.75" x14ac:dyDescent="0.25">
      <c r="A19" s="3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Investering</vt:lpstr>
      <vt:lpstr>Driftsbudsjett</vt:lpstr>
      <vt:lpstr>Finansiering</vt:lpstr>
    </vt:vector>
  </TitlesOfParts>
  <Company>ADP Dealer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Paal  Jahrmann</dc:creator>
  <cp:lastModifiedBy>Paal  Jahrmann</cp:lastModifiedBy>
  <cp:lastPrinted>2015-05-20T13:46:50Z</cp:lastPrinted>
  <dcterms:created xsi:type="dcterms:W3CDTF">2015-04-27T12:18:50Z</dcterms:created>
  <dcterms:modified xsi:type="dcterms:W3CDTF">2015-05-22T08:13:58Z</dcterms:modified>
</cp:coreProperties>
</file>